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" state="visible" r:id="rId4"/>
    <sheet sheetId="2" name="Parametrar" state="visible" r:id="rId5"/>
    <sheet sheetId="3" name="Indata" state="visible" r:id="rId6"/>
    <sheet sheetId="4" name="Beräkning" state="visible" r:id="rId7"/>
    <sheet sheetId="5" name="Resultat" state="visible" r:id="rId8"/>
    <sheet sheetId="6" name="Jämförelse" state="visible" r:id="rId9"/>
    <sheet sheetId="7" name="Ändringslogg" state="visible" r:id="rId10"/>
  </sheets>
  <definedNames>
    <definedName name="P_Ar">Parametrar!$A$4:$A$6</definedName>
    <definedName name="P_Slr">Parametrar!$B$4:$B$6</definedName>
    <definedName name="P_Tillagg">Parametrar!$C$4:$C$6</definedName>
    <definedName name="P_Golv">Parametrar!$D$4:$D$6</definedName>
    <definedName name="P_Grundniva">Parametrar!$E$4:$E$6</definedName>
    <definedName name="P_Skattesats">Parametrar!$F$4:$F$6</definedName>
    <definedName name="P_Status">Parametrar!$G$4:$G$6</definedName>
    <definedName name="In_Ar">Indata!$B$3</definedName>
    <definedName name="In_Q1">Indata!$B$4</definedName>
    <definedName name="In_Q2">Indata!$B$5</definedName>
    <definedName name="In_Q3">Indata!$B$6</definedName>
    <definedName name="In_Q4">Indata!$B$7</definedName>
    <definedName name="In_Ins">Indata!$B$8</definedName>
    <definedName name="In_Anvand">Indata!$B$9</definedName>
    <definedName name="In_Scenario">Indata!$B$10</definedName>
    <definedName name="B_Rad">'Beräkning'!$B$3</definedName>
    <definedName name="B_Slr">'Beräkning'!$B$4</definedName>
    <definedName name="B_Ranta">'Beräkning'!$B$5</definedName>
    <definedName name="B_KU">'Beräkning'!$B$6</definedName>
    <definedName name="B_SI">'Beräkning'!$B$7</definedName>
    <definedName name="B_Kvar">'Beräkning'!$B$8</definedName>
    <definedName name="B_Avdrag">'Beräkning'!$B$9</definedName>
    <definedName name="B_Skattepliktig">'Beräkning'!$B$10</definedName>
    <definedName name="B_Skatt">'Beräkning'!$B$11</definedName>
    <definedName name="B_Eff">'Beräkning'!$B$12</definedName>
    <definedName name="B_Status">'Beräkning'!$B$13</definedName>
  </definedNames>
  <calcPr calcId="171027" fullCalcOnLoad="1"/>
</workbook>
</file>

<file path=xl/sharedStrings.xml><?xml version="1.0" encoding="utf-8"?>
<sst xmlns="http://schemas.openxmlformats.org/spreadsheetml/2006/main" count="107" uniqueCount="80">
  <si>
    <t>ISK-skatt – kalkyl</t>
  </si>
  <si>
    <t>Från Excelkollen (excelkollen.com). Gratis, utan konto, utan makron.</t>
  </si>
  <si>
    <t>Parametrar hämtade 2026-10-13 från Skatteverket, Riksgälden och inkomstskattelagen. Se fliken Parametrar.</t>
  </si>
  <si>
    <t/>
  </si>
  <si>
    <t>Så gör du:</t>
  </si>
  <si>
    <t>1. Gå till fliken Indata. Välj inkomstår i listan och fyll i de ljusa cellerna.</t>
  </si>
  <si>
    <t>2. Fyll i värdet på kontot den 1 januari, 1 april, 1 juli och 1 oktober (0 om du inte hade kontot), och summan av dina insättningar.</t>
  </si>
  <si>
    <t>3. Resultatet står på fliken Resultat. Uträkningen steg för steg finns på fliken Beräkning.</t>
  </si>
  <si>
    <t>4. Fliken Jämförelse visar samma konto för alla år.</t>
  </si>
  <si>
    <t>Inkomstår 2026 deklareras 2027. Siffror med status prognos kan ändras (se Parametrar).</t>
  </si>
  <si>
    <t>Räkneexempel, inte rådgivning. Beloppen avrundas nedåt till hela kronor; banken kan avrunda annorlunda (±1 kr).</t>
  </si>
  <si>
    <t>Har du ränteutgifter (t.ex. bolån) blir kostnaden i regel densamma: ISK-intäkten minskar då skattereduktionen för underskott av kapital.</t>
  </si>
  <si>
    <t>Excel är ett registrerat varumärke som tillhör Microsoft Corporation. Excelkollen är inte knutet till Microsoft.</t>
  </si>
  <si>
    <t>Parametrar per inkomstår</t>
  </si>
  <si>
    <t>Inkomstår</t>
  </si>
  <si>
    <t>Statslåneränta 30 nov året före</t>
  </si>
  <si>
    <t>Tillägg</t>
  </si>
  <si>
    <t>Lägsta ränta</t>
  </si>
  <si>
    <t>Skattefri grundnivå</t>
  </si>
  <si>
    <t>Skattesats</t>
  </si>
  <si>
    <t>Status</t>
  </si>
  <si>
    <t>Källa (statslåneränta / grundnivå)</t>
  </si>
  <si>
    <t>Hämtad</t>
  </si>
  <si>
    <t>definitiv</t>
  </si>
  <si>
    <t>https://www.riksgalden.se/press-och-publicerat/pressmeddelanden-och-nyheter/nyheter/2024/statslanerantan-per-den-30-november-2024/ · https://www.svenskforfattningssamling.se/sites/default/files/sfs/2024-11/SFS2024-1131.pdf</t>
  </si>
  <si>
    <t>2026-10-13</t>
  </si>
  <si>
    <t>https://www.riksgalden.se/press-och-publicerat/pressmeddelanden-och-nyheter/nyheter/20252/statslanerantan-per-den-30-november-2025/ · https://www.svenskforfattningssamling.se/sites/default/files/sfs/2024-11/SFS2024-1132.pdf</t>
  </si>
  <si>
    <t>prognos</t>
  </si>
  <si>
    <t>https://www.riksgalden.se/var-verksamhet/statslanerantan/statslanerantan-per-vecka/ · https://www.svenskforfattningssamling.se/sites/default/files/sfs/2024-11/SFS2024-1132.pdf</t>
  </si>
  <si>
    <t>Regler: inkomstskattelagen 42 kap. 36–48 §§. Schablonränta = statslåneräntan 30 november året före + 1 procentenhet, lägst 1,25 %. Grundnivån är ett avdrag på högst grundnivån × schablonräntan.</t>
  </si>
  <si>
    <t>Indata – fyll i de ljusa cellerna</t>
  </si>
  <si>
    <t>Välj i listan</t>
  </si>
  <si>
    <t>Värde 1 januari</t>
  </si>
  <si>
    <t>0 om du inte hade kontot</t>
  </si>
  <si>
    <t>Värde 1 april</t>
  </si>
  <si>
    <t>Värde 1 juli</t>
  </si>
  <si>
    <t>Värde 1 oktober</t>
  </si>
  <si>
    <t>Insättningar under året</t>
  </si>
  <si>
    <t>Pengar och värdepapper du fört in, även gåvor. Inte flytt mellan egna ISK.</t>
  </si>
  <si>
    <t>Kapitalunderlaget för dina andra ISK</t>
  </si>
  <si>
    <t>Summan av de andra ISK-kontonas kapitalunderlag (årsbeskedet), inte saldot. 0 om du bara har ett ISK.</t>
  </si>
  <si>
    <t>Statslåneränta, eget scenario (lämna tom)</t>
  </si>
  <si>
    <t>Tom = Riksgäldens värde för året. Skriv t.ex. 3,20 % för ett scenario.</t>
  </si>
  <si>
    <t>Beräkning steg för steg</t>
  </si>
  <si>
    <t>Rad i parametertabellen</t>
  </si>
  <si>
    <t>Statslåneränta</t>
  </si>
  <si>
    <t>Riksgälden, 30 november året före</t>
  </si>
  <si>
    <t>Schablonränta</t>
  </si>
  <si>
    <t>IL 42 kap. 36 §</t>
  </si>
  <si>
    <t>Kapitalunderlag</t>
  </si>
  <si>
    <t>IL 42 kap. 37 §: (kvartalsvärden + insättningar) / 4</t>
  </si>
  <si>
    <t>Schablonintäkt</t>
  </si>
  <si>
    <t>Kapitalunderlag × schablonränta, hela kronor nedåt</t>
  </si>
  <si>
    <t>Kvar av grundnivån</t>
  </si>
  <si>
    <t>IL 42 kap. 48 §, per person</t>
  </si>
  <si>
    <t>Avdrag för grundnivå</t>
  </si>
  <si>
    <t>Högst grundnivån × schablonräntan</t>
  </si>
  <si>
    <t>Skattepliktig intäkt</t>
  </si>
  <si>
    <t>Skatt</t>
  </si>
  <si>
    <t>30 % på inkomst av kapital</t>
  </si>
  <si>
    <t>Effektiv skatt av kapitalunderlaget</t>
  </si>
  <si>
    <t>Status för året</t>
  </si>
  <si>
    <t>Resultat</t>
  </si>
  <si>
    <t>Deklareras</t>
  </si>
  <si>
    <t>ISK-skatt</t>
  </si>
  <si>
    <t>Effektiv skatt</t>
  </si>
  <si>
    <t>Räkneexempel, inte rådgivning. Avrundat nedåt till hela kronor; banken kan avrunda annorlunda (±1 kr).</t>
  </si>
  <si>
    <t>Samma konto, alla inkomstår</t>
  </si>
  <si>
    <t>Avdrag</t>
  </si>
  <si>
    <t>Jämförelsen använder Riksgäldens värden (inget eget scenario).</t>
  </si>
  <si>
    <t>Ändringslogg för parametrarna</t>
  </si>
  <si>
    <t>Datum</t>
  </si>
  <si>
    <t>Uppgift</t>
  </si>
  <si>
    <t>År</t>
  </si>
  <si>
    <t>Tidigare</t>
  </si>
  <si>
    <t>Nu</t>
  </si>
  <si>
    <t>Notering</t>
  </si>
  <si>
    <t>Statslåneräntan 30 november 2026</t>
  </si>
  <si>
    <t>ny</t>
  </si>
  <si>
    <t>Första prognos för ISK-skatten 2027 med Riksgäldens senaste statslåneränta (3,07 %, fastställd 8 oktober 2026). Schablonränta 4,07 %.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</si>
</sst>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kr&quot;;-#,##0 &quot;kr&quot;"/>
    <numFmt numFmtId="165" formatCode="0.000%"/>
  </numFmts>
  <fonts count="5" x14ac:knownFonts="1">
    <font>
      <color theme="1"/>
      <family val="2"/>
      <scheme val="minor"/>
      <sz val="11"/>
      <name val="Calibri"/>
    </font>
    <font>
      <b/>
      <color rgb="FF9B2C1C"/>
      <sz val="18"/>
    </font>
    <font>
      <b/>
      <color rgb="FF9B2C1C"/>
      <sz val="14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FFF4D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0" fontId="0" fillId="0" borderId="0" xfId="0" applyNumberFormat="1"/>
    <xf numFmtId="164" fontId="0" fillId="0" borderId="0" xfId="0" applyNumberFormat="1"/>
    <xf numFmtId="1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0" fontId="0" fillId="2" borderId="1" xfId="0" applyNumberFormat="1" applyFill="1" applyBorder="1" applyProtection="1">
      <protection locked="0"/>
    </xf>
    <xf numFmtId="1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B2C1C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3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3</v>
      </c>
    </row>
    <row r="16" spans="1:1" x14ac:dyDescent="0.25">
      <c r="A1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0" customWidth="1"/>
    <col min="2" max="2" width="16" customWidth="1"/>
    <col min="3" max="4" width="12" customWidth="1"/>
    <col min="5" max="5" width="14" customWidth="1"/>
    <col min="6" max="6" width="12" customWidth="1"/>
    <col min="7" max="7" width="10" customWidth="1"/>
    <col min="8" max="8" width="70" customWidth="1"/>
    <col min="9" max="9" width="12" customWidth="1"/>
  </cols>
  <sheetData>
    <row r="1" spans="1:1" x14ac:dyDescent="0.25">
      <c r="A1" s="2" t="s">
        <v>13</v>
      </c>
    </row>
    <row r="3" spans="1:9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</row>
    <row r="4" spans="1:9" x14ac:dyDescent="0.25">
      <c r="A4">
        <v>2025</v>
      </c>
      <c r="B4" s="4">
        <v>0.0196</v>
      </c>
      <c r="C4" s="4">
        <v>0.01</v>
      </c>
      <c r="D4" s="4">
        <v>0.0125</v>
      </c>
      <c r="E4" s="5">
        <v>150000</v>
      </c>
      <c r="F4" s="4">
        <v>0.3</v>
      </c>
      <c r="G4" t="s">
        <v>23</v>
      </c>
      <c r="H4" t="s">
        <v>24</v>
      </c>
      <c r="I4" t="s">
        <v>25</v>
      </c>
    </row>
    <row r="5" spans="1:9" x14ac:dyDescent="0.25">
      <c r="A5">
        <v>2026</v>
      </c>
      <c r="B5" s="4">
        <v>0.0255</v>
      </c>
      <c r="C5" s="4">
        <v>0.01</v>
      </c>
      <c r="D5" s="4">
        <v>0.0125</v>
      </c>
      <c r="E5" s="5">
        <v>300000</v>
      </c>
      <c r="F5" s="4">
        <v>0.3</v>
      </c>
      <c r="G5" t="s">
        <v>23</v>
      </c>
      <c r="H5" t="s">
        <v>26</v>
      </c>
      <c r="I5" t="s">
        <v>25</v>
      </c>
    </row>
    <row r="6" spans="1:9" x14ac:dyDescent="0.25">
      <c r="A6">
        <v>2027</v>
      </c>
      <c r="B6" s="4">
        <v>0.030699999999999998</v>
      </c>
      <c r="C6" s="4">
        <v>0.01</v>
      </c>
      <c r="D6" s="4">
        <v>0.0125</v>
      </c>
      <c r="E6" s="5">
        <v>300000</v>
      </c>
      <c r="F6" s="4">
        <v>0.3</v>
      </c>
      <c r="G6" t="s">
        <v>27</v>
      </c>
      <c r="H6" t="s">
        <v>28</v>
      </c>
      <c r="I6" t="s">
        <v>25</v>
      </c>
    </row>
    <row r="8" spans="1:1" x14ac:dyDescent="0.25">
      <c r="A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58" customWidth="1"/>
    <col min="2" max="2" width="18" customWidth="1"/>
    <col min="3" max="3" width="60" customWidth="1"/>
  </cols>
  <sheetData>
    <row r="1" spans="1:1" x14ac:dyDescent="0.25">
      <c r="A1" s="2" t="s">
        <v>30</v>
      </c>
    </row>
    <row r="3" spans="1:3" x14ac:dyDescent="0.25">
      <c r="A3" t="s">
        <v>14</v>
      </c>
      <c r="B3" s="6">
        <v>2026</v>
      </c>
      <c r="C3" t="s">
        <v>31</v>
      </c>
    </row>
    <row r="4" spans="1:3" x14ac:dyDescent="0.25">
      <c r="A4" t="s">
        <v>32</v>
      </c>
      <c r="B4" s="7">
        <v>500000</v>
      </c>
      <c r="C4" t="s">
        <v>33</v>
      </c>
    </row>
    <row r="5" spans="1:3" x14ac:dyDescent="0.25">
      <c r="A5" t="s">
        <v>34</v>
      </c>
      <c r="B5" s="7">
        <v>500000</v>
      </c>
      <c r="C5" t="s">
        <v>3</v>
      </c>
    </row>
    <row r="6" spans="1:3" x14ac:dyDescent="0.25">
      <c r="A6" t="s">
        <v>35</v>
      </c>
      <c r="B6" s="7">
        <v>500000</v>
      </c>
      <c r="C6" t="s">
        <v>3</v>
      </c>
    </row>
    <row r="7" spans="1:3" x14ac:dyDescent="0.25">
      <c r="A7" t="s">
        <v>36</v>
      </c>
      <c r="B7" s="7">
        <v>500000</v>
      </c>
      <c r="C7" t="s">
        <v>3</v>
      </c>
    </row>
    <row r="8" spans="1:3" x14ac:dyDescent="0.25">
      <c r="A8" t="s">
        <v>37</v>
      </c>
      <c r="B8" s="7">
        <v>0</v>
      </c>
      <c r="C8" t="s">
        <v>38</v>
      </c>
    </row>
    <row r="9" spans="1:3" x14ac:dyDescent="0.25">
      <c r="A9" t="s">
        <v>39</v>
      </c>
      <c r="B9" s="7">
        <v>0</v>
      </c>
      <c r="C9" t="s">
        <v>40</v>
      </c>
    </row>
    <row r="10" spans="1:3" x14ac:dyDescent="0.25">
      <c r="A10" t="s">
        <v>41</v>
      </c>
      <c r="B10" s="8"/>
      <c r="C10" t="s">
        <v>42</v>
      </c>
    </row>
  </sheetData>
  <dataValidations count="2">
    <dataValidation type="list" showErrorMessage="1" errorTitle="Inkomstår" error="Välj 2025, 2026, 2027" sqref="B3">
      <formula1>"2025,2026,2027"</formula1>
    </dataValidation>
    <dataValidation type="decimal" operator="greaterThanOrEqual" showErrorMessage="1" error="Skriv ett belopp ≥ 0" sqref="B4:B9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52" customWidth="1"/>
    <col min="2" max="2" width="18" customWidth="1"/>
    <col min="3" max="3" width="58" customWidth="1"/>
  </cols>
  <sheetData>
    <row r="1" spans="1:1" x14ac:dyDescent="0.25">
      <c r="A1" s="2" t="s">
        <v>43</v>
      </c>
    </row>
    <row r="3" spans="1:3" x14ac:dyDescent="0.25">
      <c r="A3" t="s">
        <v>44</v>
      </c>
      <c r="B3" s="9">
        <f>MATCH(In_Ar,P_Ar,0)</f>
      </c>
      <c r="C3" t="s">
        <v>3</v>
      </c>
    </row>
    <row r="4" spans="1:3" x14ac:dyDescent="0.25">
      <c r="A4" t="s">
        <v>45</v>
      </c>
      <c r="B4" s="4">
        <f>IF(ISBLANK(In_Scenario),INDEX(P_Slr,B_Rad),In_Scenario)</f>
      </c>
      <c r="C4" t="s">
        <v>46</v>
      </c>
    </row>
    <row r="5" spans="1:3" x14ac:dyDescent="0.25">
      <c r="A5" t="s">
        <v>47</v>
      </c>
      <c r="B5" s="4">
        <f>ROUND(MAX(B_Slr+INDEX(P_Tillagg,B_Rad),INDEX(P_Golv,B_Rad)),6)</f>
      </c>
      <c r="C5" t="s">
        <v>48</v>
      </c>
    </row>
    <row r="6" spans="1:3" x14ac:dyDescent="0.25">
      <c r="A6" t="s">
        <v>49</v>
      </c>
      <c r="B6" s="5">
        <f>ROUNDDOWN(ROUND((In_Q1+In_Q2+In_Q3+In_Q4+In_Ins)/4,6),0)</f>
      </c>
      <c r="C6" t="s">
        <v>50</v>
      </c>
    </row>
    <row r="7" spans="1:3" x14ac:dyDescent="0.25">
      <c r="A7" t="s">
        <v>51</v>
      </c>
      <c r="B7" s="5">
        <f>ROUNDDOWN(ROUND(B_KU*B_Ranta,6),0)</f>
      </c>
      <c r="C7" t="s">
        <v>52</v>
      </c>
    </row>
    <row r="8" spans="1:3" x14ac:dyDescent="0.25">
      <c r="A8" t="s">
        <v>53</v>
      </c>
      <c r="B8" s="5">
        <f>MAX(INDEX(P_Grundniva,B_Rad)-In_Anvand,0)</f>
      </c>
      <c r="C8" t="s">
        <v>54</v>
      </c>
    </row>
    <row r="9" spans="1:3" x14ac:dyDescent="0.25">
      <c r="A9" t="s">
        <v>55</v>
      </c>
      <c r="B9" s="5">
        <f>MIN(B_SI,ROUNDDOWN(ROUND(B_Kvar*B_Ranta,6),0))</f>
      </c>
      <c r="C9" t="s">
        <v>56</v>
      </c>
    </row>
    <row r="10" spans="1:3" x14ac:dyDescent="0.25">
      <c r="A10" t="s">
        <v>57</v>
      </c>
      <c r="B10" s="5">
        <f>B_SI-B_Avdrag</f>
      </c>
      <c r="C10" t="s">
        <v>3</v>
      </c>
    </row>
    <row r="11" spans="1:3" x14ac:dyDescent="0.25">
      <c r="A11" t="s">
        <v>58</v>
      </c>
      <c r="B11" s="5">
        <f>ROUNDDOWN(ROUND(B_Skattepliktig*INDEX(P_Skattesats,B_Rad),6),0)</f>
      </c>
      <c r="C11" t="s">
        <v>59</v>
      </c>
    </row>
    <row r="12" spans="1:3" x14ac:dyDescent="0.25">
      <c r="A12" t="s">
        <v>60</v>
      </c>
      <c r="B12" s="10">
        <f>IF(B_KU&gt;0,B_Skatt/B_KU,0)</f>
      </c>
      <c r="C12" t="s">
        <v>3</v>
      </c>
    </row>
    <row r="13" spans="1:3" x14ac:dyDescent="0.25">
      <c r="A13" t="s">
        <v>61</v>
      </c>
      <c r="B13" s="11">
        <f>INDEX(P_Status,B_Rad)</f>
      </c>
      <c r="C1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44" customWidth="1"/>
    <col min="2" max="2" width="20" customWidth="1"/>
  </cols>
  <sheetData>
    <row r="1" spans="1:1" x14ac:dyDescent="0.25">
      <c r="A1" s="2" t="s">
        <v>62</v>
      </c>
    </row>
    <row r="3" spans="1:2" x14ac:dyDescent="0.25">
      <c r="A3" t="s">
        <v>14</v>
      </c>
      <c r="B3" s="9">
        <f>In_Ar</f>
      </c>
    </row>
    <row r="4" spans="1:2" x14ac:dyDescent="0.25">
      <c r="A4" t="s">
        <v>63</v>
      </c>
      <c r="B4" s="9">
        <f>In_Ar+1</f>
      </c>
    </row>
    <row r="5" spans="1:2" x14ac:dyDescent="0.25">
      <c r="A5" t="s">
        <v>49</v>
      </c>
      <c r="B5" s="5">
        <f>B_KU</f>
      </c>
    </row>
    <row r="6" spans="1:2" x14ac:dyDescent="0.25">
      <c r="A6" t="s">
        <v>51</v>
      </c>
      <c r="B6" s="5">
        <f>B_SI</f>
      </c>
    </row>
    <row r="7" spans="1:2" x14ac:dyDescent="0.25">
      <c r="A7" t="s">
        <v>55</v>
      </c>
      <c r="B7" s="5">
        <f>B_Avdrag</f>
      </c>
    </row>
    <row r="8" spans="1:2" x14ac:dyDescent="0.25">
      <c r="A8" s="12" t="s">
        <v>64</v>
      </c>
      <c r="B8" s="13">
        <f>B_Skatt</f>
      </c>
    </row>
    <row r="9" spans="1:2" x14ac:dyDescent="0.25">
      <c r="A9" t="s">
        <v>65</v>
      </c>
      <c r="B9" s="10">
        <f>B_Eff</f>
      </c>
    </row>
    <row r="10" spans="1:2" x14ac:dyDescent="0.25">
      <c r="A10" t="s">
        <v>20</v>
      </c>
      <c r="B10" s="11">
        <f>B_Status</f>
      </c>
    </row>
    <row r="12" spans="1:1" x14ac:dyDescent="0.25">
      <c r="A12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2" t="s">
        <v>67</v>
      </c>
    </row>
    <row r="3" spans="1:4" x14ac:dyDescent="0.25">
      <c r="A3" s="3" t="s">
        <v>14</v>
      </c>
      <c r="B3">
        <v>2025</v>
      </c>
      <c r="C3">
        <v>2026</v>
      </c>
      <c r="D3">
        <v>2027</v>
      </c>
    </row>
    <row r="4" spans="1:4" x14ac:dyDescent="0.25">
      <c r="A4" s="3" t="s">
        <v>47</v>
      </c>
      <c r="B4" s="4">
        <f>ROUND(MAX(INDEX(P_Slr,MATCH(B3,P_Ar,0))+INDEX(P_Tillagg,MATCH(B3,P_Ar,0)),INDEX(P_Golv,MATCH(B3,P_Ar,0))),6)</f>
      </c>
      <c r="C4" s="4">
        <f>ROUND(MAX(INDEX(P_Slr,MATCH(C3,P_Ar,0))+INDEX(P_Tillagg,MATCH(C3,P_Ar,0)),INDEX(P_Golv,MATCH(C3,P_Ar,0))),6)</f>
      </c>
      <c r="D4" s="4">
        <f>ROUND(MAX(INDEX(P_Slr,MATCH(D3,P_Ar,0))+INDEX(P_Tillagg,MATCH(D3,P_Ar,0)),INDEX(P_Golv,MATCH(D3,P_Ar,0))),6)</f>
      </c>
    </row>
    <row r="5" spans="1:4" x14ac:dyDescent="0.25">
      <c r="A5" s="3" t="s">
        <v>49</v>
      </c>
      <c r="B5" s="5">
        <f>B_KU</f>
      </c>
      <c r="C5" s="5">
        <f>B_KU</f>
      </c>
      <c r="D5" s="5">
        <f>B_KU</f>
      </c>
    </row>
    <row r="6" spans="1:4" x14ac:dyDescent="0.25">
      <c r="A6" s="3" t="s">
        <v>51</v>
      </c>
      <c r="B6" s="5">
        <f>ROUNDDOWN(ROUND(B5*B4,6),0)</f>
      </c>
      <c r="C6" s="5">
        <f>ROUNDDOWN(ROUND(C5*C4,6),0)</f>
      </c>
      <c r="D6" s="5">
        <f>ROUNDDOWN(ROUND(D5*D4,6),0)</f>
      </c>
    </row>
    <row r="7" spans="1:4" x14ac:dyDescent="0.25">
      <c r="A7" s="3" t="s">
        <v>68</v>
      </c>
      <c r="B7" s="5">
        <f>MIN(B6,ROUNDDOWN(ROUND(MAX(INDEX(P_Grundniva,MATCH(B3,P_Ar,0))-In_Anvand,0)*B4,6),0))</f>
      </c>
      <c r="C7" s="5">
        <f>MIN(C6,ROUNDDOWN(ROUND(MAX(INDEX(P_Grundniva,MATCH(C3,P_Ar,0))-In_Anvand,0)*C4,6),0))</f>
      </c>
      <c r="D7" s="5">
        <f>MIN(D6,ROUNDDOWN(ROUND(MAX(INDEX(P_Grundniva,MATCH(D3,P_Ar,0))-In_Anvand,0)*D4,6),0))</f>
      </c>
    </row>
    <row r="8" spans="1:4" x14ac:dyDescent="0.25">
      <c r="A8" s="3" t="s">
        <v>58</v>
      </c>
      <c r="B8" s="5">
        <f>ROUNDDOWN(ROUND((B6-B7)*INDEX(P_Skattesats,MATCH(B3,P_Ar,0)),6),0)</f>
      </c>
      <c r="C8" s="5">
        <f>ROUNDDOWN(ROUND((C6-C7)*INDEX(P_Skattesats,MATCH(C3,P_Ar,0)),6),0)</f>
      </c>
      <c r="D8" s="5">
        <f>ROUNDDOWN(ROUND((D6-D7)*INDEX(P_Skattesats,MATCH(D3,P_Ar,0)),6),0)</f>
      </c>
    </row>
    <row r="9" spans="1:4" x14ac:dyDescent="0.25">
      <c r="A9" s="3" t="s">
        <v>20</v>
      </c>
      <c r="B9">
        <f>INDEX(P_Status,MATCH(B3,P_Ar,0))</f>
      </c>
      <c r="C9">
        <f>INDEX(P_Status,MATCH(C3,P_Ar,0))</f>
      </c>
      <c r="D9">
        <f>INDEX(P_Status,MATCH(D3,P_Ar,0))</f>
      </c>
    </row>
    <row r="11" spans="1:1" x14ac:dyDescent="0.25">
      <c r="A11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1" width="12" customWidth="1"/>
    <col min="2" max="2" width="34" customWidth="1"/>
    <col min="3" max="3" width="8" customWidth="1"/>
    <col min="4" max="6" width="12" customWidth="1"/>
    <col min="7" max="7" width="90" customWidth="1"/>
  </cols>
  <sheetData>
    <row r="1" spans="1:1" x14ac:dyDescent="0.25">
      <c r="A1" s="2" t="s">
        <v>70</v>
      </c>
    </row>
    <row r="3" spans="1:7" x14ac:dyDescent="0.25">
      <c r="A3" s="3" t="s">
        <v>71</v>
      </c>
      <c r="B3" s="3" t="s">
        <v>72</v>
      </c>
      <c r="C3" s="3" t="s">
        <v>73</v>
      </c>
      <c r="D3" s="3" t="s">
        <v>74</v>
      </c>
      <c r="E3" s="3" t="s">
        <v>75</v>
      </c>
      <c r="F3" s="3" t="s">
        <v>20</v>
      </c>
      <c r="G3" s="3" t="s">
        <v>76</v>
      </c>
    </row>
    <row r="4" spans="1:7" x14ac:dyDescent="0.25">
      <c r="A4" t="s">
        <v>25</v>
      </c>
      <c r="B4" t="s">
        <v>77</v>
      </c>
      <c r="C4">
        <v>2027</v>
      </c>
      <c r="D4" t="s">
        <v>78</v>
      </c>
      <c r="E4">
        <v>3.07</v>
      </c>
      <c r="F4" t="s">
        <v>27</v>
      </c>
      <c r="G4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</vt:lpstr>
      <vt:lpstr>Parametrar</vt:lpstr>
      <vt:lpstr>Indata</vt:lpstr>
      <vt:lpstr>Beräkning</vt:lpstr>
      <vt:lpstr>Resultat</vt:lpstr>
      <vt:lpstr>Jämförelse</vt:lpstr>
      <vt:lpstr>Ändringslogg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Excelkollen</dc:creator>
  <dc:title>ISK-skatt – kalkyl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